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575" windowHeight="4785" activeTab="0"/>
  </bookViews>
  <sheets>
    <sheet name="保代" sheetId="1" r:id="rId1"/>
    <sheet name="人民" sheetId="2" r:id="rId2"/>
  </sheets>
  <definedNames/>
  <calcPr fullCalcOnLoad="1"/>
</workbook>
</file>

<file path=xl/sharedStrings.xml><?xml version="1.0" encoding="utf-8"?>
<sst xmlns="http://schemas.openxmlformats.org/spreadsheetml/2006/main" count="22" uniqueCount="16">
  <si>
    <t>會員：勞/健保/月費率表</t>
  </si>
  <si>
    <t>級數</t>
  </si>
  <si>
    <t>投保薪資</t>
  </si>
  <si>
    <t>合計(勞/健保/月費率)</t>
  </si>
  <si>
    <t>本人</t>
  </si>
  <si>
    <t>本人+1 眷口</t>
  </si>
  <si>
    <t>本人+2 眷口</t>
  </si>
  <si>
    <t xml:space="preserve">                                                                   大高雄保險代理職業工會</t>
  </si>
  <si>
    <r>
      <t>1</t>
    </r>
    <r>
      <rPr>
        <sz val="12"/>
        <color indexed="8"/>
        <rFont val="細明體"/>
        <family val="3"/>
      </rPr>
      <t>眷口健保費</t>
    </r>
  </si>
  <si>
    <t xml:space="preserve">                                                                   大高雄人民團體聘僱人員職業工會</t>
  </si>
  <si>
    <r>
      <t>1</t>
    </r>
    <r>
      <rPr>
        <sz val="12"/>
        <color indexed="8"/>
        <rFont val="細明體"/>
        <family val="3"/>
      </rPr>
      <t>眷口健保費</t>
    </r>
  </si>
  <si>
    <t>月費150</t>
  </si>
  <si>
    <t>月費200</t>
  </si>
  <si>
    <r>
      <t>(10</t>
    </r>
    <r>
      <rPr>
        <b/>
        <sz val="12"/>
        <color indexed="12"/>
        <rFont val="DFKaiShu-SB-Estd-BF"/>
        <family val="2"/>
      </rPr>
      <t>3</t>
    </r>
    <r>
      <rPr>
        <b/>
        <sz val="12"/>
        <color indexed="12"/>
        <rFont val="DFKaiShu-SB-Estd-BF"/>
        <family val="2"/>
      </rPr>
      <t>.0</t>
    </r>
    <r>
      <rPr>
        <b/>
        <sz val="12"/>
        <color indexed="12"/>
        <rFont val="DFKaiShu-SB-Estd-BF"/>
        <family val="2"/>
      </rPr>
      <t>7</t>
    </r>
    <r>
      <rPr>
        <b/>
        <sz val="12"/>
        <color indexed="12"/>
        <rFont val="DFKaiShu-SB-Estd-BF"/>
        <family val="2"/>
      </rPr>
      <t xml:space="preserve"> </t>
    </r>
    <r>
      <rPr>
        <b/>
        <sz val="12"/>
        <color indexed="12"/>
        <rFont val="細明體"/>
        <family val="3"/>
      </rPr>
      <t>版</t>
    </r>
    <r>
      <rPr>
        <b/>
        <sz val="12"/>
        <color indexed="12"/>
        <rFont val="DFKaiShu-SB-Estd-BF"/>
        <family val="2"/>
      </rPr>
      <t>)</t>
    </r>
  </si>
  <si>
    <r>
      <t>(10</t>
    </r>
    <r>
      <rPr>
        <b/>
        <sz val="12"/>
        <color indexed="12"/>
        <rFont val="DFKaiShu-SB-Estd-BF"/>
        <family val="2"/>
      </rPr>
      <t>3</t>
    </r>
    <r>
      <rPr>
        <b/>
        <sz val="12"/>
        <color indexed="12"/>
        <rFont val="DFKaiShu-SB-Estd-BF"/>
        <family val="2"/>
      </rPr>
      <t>.0</t>
    </r>
    <r>
      <rPr>
        <b/>
        <sz val="12"/>
        <color indexed="12"/>
        <rFont val="DFKaiShu-SB-Estd-BF"/>
        <family val="2"/>
      </rPr>
      <t>7</t>
    </r>
    <r>
      <rPr>
        <b/>
        <sz val="12"/>
        <color indexed="12"/>
        <rFont val="DFKaiShu-SB-Estd-BF"/>
        <family val="2"/>
      </rPr>
      <t xml:space="preserve"> </t>
    </r>
    <r>
      <rPr>
        <b/>
        <sz val="12"/>
        <color indexed="12"/>
        <rFont val="細明體"/>
        <family val="3"/>
      </rPr>
      <t>版</t>
    </r>
    <r>
      <rPr>
        <b/>
        <sz val="12"/>
        <color indexed="12"/>
        <rFont val="DFKaiShu-SB-Estd-BF"/>
        <family val="2"/>
      </rPr>
      <t>)</t>
    </r>
  </si>
  <si>
    <r>
      <rPr>
        <b/>
        <sz val="18"/>
        <color indexed="12"/>
        <rFont val="細明體"/>
        <family val="3"/>
      </rPr>
      <t>會員：勞</t>
    </r>
    <r>
      <rPr>
        <b/>
        <sz val="18"/>
        <color indexed="12"/>
        <rFont val="DFKaiShu-SB-Estd-BF"/>
        <family val="2"/>
      </rPr>
      <t>/</t>
    </r>
    <r>
      <rPr>
        <b/>
        <sz val="18"/>
        <color indexed="12"/>
        <rFont val="細明體"/>
        <family val="3"/>
      </rPr>
      <t>健保</t>
    </r>
    <r>
      <rPr>
        <b/>
        <sz val="18"/>
        <color indexed="12"/>
        <rFont val="DFKaiShu-SB-Estd-BF"/>
        <family val="2"/>
      </rPr>
      <t>/</t>
    </r>
    <r>
      <rPr>
        <b/>
        <sz val="18"/>
        <color indexed="12"/>
        <rFont val="細明體"/>
        <family val="3"/>
      </rPr>
      <t xml:space="preserve">月費率表 </t>
    </r>
    <r>
      <rPr>
        <b/>
        <sz val="18"/>
        <color indexed="12"/>
        <rFont val="DFKaiShu-SB-Estd-BF"/>
        <family val="2"/>
      </rPr>
      <t xml:space="preserve"> 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</si>
</sst>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4]AM/PM\ hh:mm:ss"/>
    <numFmt numFmtId="181" formatCode="0.00_);[Red]\(0.00\)"/>
    <numFmt numFmtId="182" formatCode="0_);[Red]\(0\)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2"/>
      <color indexed="12"/>
      <name val="DFKaiShu-SB-Estd-BF"/>
      <family val="2"/>
    </font>
    <font>
      <b/>
      <sz val="12"/>
      <color indexed="12"/>
      <name val="細明體"/>
      <family val="3"/>
    </font>
    <font>
      <b/>
      <sz val="24"/>
      <color indexed="8"/>
      <name val="新細明體"/>
      <family val="1"/>
    </font>
    <font>
      <sz val="24"/>
      <color indexed="8"/>
      <name val="新細明體"/>
      <family val="1"/>
    </font>
    <font>
      <sz val="18"/>
      <color indexed="8"/>
      <name val="新細明體"/>
      <family val="1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DFKaiShu-SB-Estd-BF"/>
      <family val="2"/>
    </font>
    <font>
      <b/>
      <sz val="18"/>
      <color indexed="12"/>
      <name val="DFKaiShu-SB-Estd-BF"/>
      <family val="2"/>
    </font>
    <font>
      <b/>
      <sz val="14"/>
      <color indexed="8"/>
      <name val="DFKaiShu-SB-Estd-BF"/>
      <family val="2"/>
    </font>
    <font>
      <sz val="14"/>
      <color indexed="8"/>
      <name val="DFKaiShu-SB-Estd-BF"/>
      <family val="2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細明體"/>
      <family val="3"/>
    </font>
    <font>
      <b/>
      <sz val="18"/>
      <color indexed="8"/>
      <name val="細明體"/>
      <family val="3"/>
    </font>
    <font>
      <b/>
      <sz val="18"/>
      <color indexed="12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49"/>
      </left>
      <right style="medium">
        <color indexed="49"/>
      </right>
      <top>
        <color indexed="63"/>
      </top>
      <bottom style="medium">
        <color indexed="49"/>
      </bottom>
    </border>
    <border>
      <left>
        <color indexed="63"/>
      </left>
      <right style="medium">
        <color indexed="49"/>
      </right>
      <top>
        <color indexed="63"/>
      </top>
      <bottom style="medium">
        <color indexed="49"/>
      </bottom>
    </border>
    <border>
      <left>
        <color indexed="63"/>
      </left>
      <right style="medium">
        <color indexed="49"/>
      </right>
      <top style="medium">
        <color indexed="49"/>
      </top>
      <bottom style="medium">
        <color indexed="49"/>
      </bottom>
    </border>
    <border>
      <left style="medium">
        <color indexed="49"/>
      </left>
      <right>
        <color indexed="63"/>
      </right>
      <top style="medium">
        <color indexed="49"/>
      </top>
      <bottom style="medium">
        <color indexed="49"/>
      </bottom>
    </border>
    <border>
      <left>
        <color indexed="63"/>
      </left>
      <right>
        <color indexed="63"/>
      </right>
      <top style="medium">
        <color indexed="49"/>
      </top>
      <bottom style="medium">
        <color indexed="49"/>
      </bottom>
    </border>
    <border>
      <left style="medium">
        <color indexed="49"/>
      </left>
      <right style="medium">
        <color indexed="49"/>
      </right>
      <top style="medium">
        <color indexed="49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0" fontId="38" fillId="20" borderId="0" applyNumberFormat="0" applyBorder="0" applyAlignment="0" applyProtection="0"/>
    <xf numFmtId="9" fontId="1" fillId="0" borderId="0" applyFont="0" applyFill="0" applyBorder="0" applyAlignment="0" applyProtection="0"/>
    <xf numFmtId="0" fontId="39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1" fillId="22" borderId="4" applyNumberFormat="0" applyFont="0" applyAlignment="0" applyProtection="0"/>
    <xf numFmtId="0" fontId="1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2" applyNumberFormat="0" applyAlignment="0" applyProtection="0"/>
    <xf numFmtId="0" fontId="47" fillId="21" borderId="8" applyNumberFormat="0" applyAlignment="0" applyProtection="0"/>
    <xf numFmtId="0" fontId="48" fillId="30" borderId="9" applyNumberFormat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25"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32" borderId="10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  <xf numFmtId="182" fontId="9" fillId="32" borderId="11" xfId="0" applyNumberFormat="1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182" fontId="9" fillId="5" borderId="11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vertical="center" wrapText="1"/>
    </xf>
    <xf numFmtId="182" fontId="9" fillId="34" borderId="11" xfId="0" applyNumberFormat="1" applyFont="1" applyFill="1" applyBorder="1" applyAlignment="1">
      <alignment horizontal="center" vertical="center" wrapText="1"/>
    </xf>
    <xf numFmtId="0" fontId="17" fillId="35" borderId="12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wrapText="1"/>
    </xf>
    <xf numFmtId="0" fontId="11" fillId="35" borderId="14" xfId="0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E5" sqref="E5"/>
    </sheetView>
  </sheetViews>
  <sheetFormatPr defaultColWidth="9.00390625" defaultRowHeight="15.75"/>
  <cols>
    <col min="1" max="1" width="5.50390625" style="0" customWidth="1"/>
    <col min="2" max="2" width="8.625" style="0" customWidth="1"/>
    <col min="3" max="3" width="15.50390625" style="0" customWidth="1"/>
    <col min="4" max="4" width="13.625" style="0" customWidth="1"/>
    <col min="5" max="5" width="14.75390625" style="0" customWidth="1"/>
    <col min="6" max="6" width="13.75390625" style="0" customWidth="1"/>
    <col min="7" max="7" width="16.50390625" style="0" customWidth="1"/>
  </cols>
  <sheetData>
    <row r="1" spans="1:7" ht="48.75" customHeight="1" thickBot="1">
      <c r="A1" s="2"/>
      <c r="B1" s="1" t="s">
        <v>7</v>
      </c>
      <c r="C1" s="2"/>
      <c r="D1" s="2"/>
      <c r="E1" s="2"/>
      <c r="F1" s="2"/>
      <c r="G1" s="2"/>
    </row>
    <row r="2" spans="1:7" ht="30.75" customHeight="1" thickBot="1">
      <c r="A2" s="3"/>
      <c r="B2" s="15" t="s">
        <v>0</v>
      </c>
      <c r="C2" s="16"/>
      <c r="D2" s="16"/>
      <c r="E2" s="17"/>
      <c r="F2" s="13" t="s">
        <v>11</v>
      </c>
      <c r="G2" s="14" t="s">
        <v>13</v>
      </c>
    </row>
    <row r="3" spans="2:7" ht="28.5" customHeight="1" thickBot="1">
      <c r="B3" s="18" t="s">
        <v>1</v>
      </c>
      <c r="C3" s="20" t="s">
        <v>2</v>
      </c>
      <c r="D3" s="22" t="s">
        <v>3</v>
      </c>
      <c r="E3" s="23"/>
      <c r="F3" s="23"/>
      <c r="G3" s="24"/>
    </row>
    <row r="4" spans="2:7" ht="32.25" customHeight="1" thickBot="1">
      <c r="B4" s="19"/>
      <c r="C4" s="21"/>
      <c r="D4" s="10" t="s">
        <v>4</v>
      </c>
      <c r="E4" s="11" t="s">
        <v>5</v>
      </c>
      <c r="F4" s="11" t="s">
        <v>6</v>
      </c>
      <c r="G4" s="11" t="s">
        <v>8</v>
      </c>
    </row>
    <row r="5" spans="2:7" ht="33" customHeight="1" thickBot="1">
      <c r="B5" s="4">
        <v>1</v>
      </c>
      <c r="C5" s="5">
        <v>19273</v>
      </c>
      <c r="D5" s="6">
        <f>(C5*60%*8.59%)+(672*1)+150</f>
        <v>1815.33042</v>
      </c>
      <c r="E5" s="6">
        <f>(C5*60%*8.59%)+(672*2)+150</f>
        <v>2487.3304200000002</v>
      </c>
      <c r="F5" s="6">
        <f>(C5*60%*8.59%)+(672*3)+150</f>
        <v>3159.3304200000002</v>
      </c>
      <c r="G5" s="6">
        <v>672</v>
      </c>
    </row>
    <row r="6" spans="2:7" ht="32.25" customHeight="1" thickBot="1">
      <c r="B6" s="7">
        <v>2</v>
      </c>
      <c r="C6" s="8">
        <v>20100</v>
      </c>
      <c r="D6" s="9">
        <f>(C6*60%*8.59%)+(672*1)+150</f>
        <v>1857.954</v>
      </c>
      <c r="E6" s="9">
        <f>(C6*60%*8.59%)+(672*2)+150</f>
        <v>2529.9539999999997</v>
      </c>
      <c r="F6" s="9">
        <f>(C6*60%*8.59%)+(672*3)+150</f>
        <v>3201.9539999999997</v>
      </c>
      <c r="G6" s="9">
        <v>672</v>
      </c>
    </row>
    <row r="7" spans="2:7" ht="30.75" customHeight="1" thickBot="1">
      <c r="B7" s="4">
        <v>3</v>
      </c>
      <c r="C7" s="5">
        <v>21000</v>
      </c>
      <c r="D7" s="6">
        <f>(C7*60%*8.59%)+(672*1)+150</f>
        <v>1904.3400000000001</v>
      </c>
      <c r="E7" s="6">
        <f>(C7*60%*8.59%)+(672*2)+150</f>
        <v>2576.34</v>
      </c>
      <c r="F7" s="6">
        <f>(C7*60%*8.59%)+(672*3)+150</f>
        <v>3248.34</v>
      </c>
      <c r="G7" s="6">
        <v>672</v>
      </c>
    </row>
    <row r="8" spans="2:7" ht="33.75" customHeight="1" thickBot="1">
      <c r="B8" s="7">
        <v>4</v>
      </c>
      <c r="C8" s="8">
        <v>21900</v>
      </c>
      <c r="D8" s="9">
        <f>(C8*60%*8.59%)+(672*1)+150</f>
        <v>1950.726</v>
      </c>
      <c r="E8" s="9">
        <f>(C8*60%*8.59%)+(672*2)+150</f>
        <v>2622.726</v>
      </c>
      <c r="F8" s="9">
        <f>(C8*60%*8.59%)+(672*3)+150</f>
        <v>3294.726</v>
      </c>
      <c r="G8" s="9">
        <v>672</v>
      </c>
    </row>
    <row r="9" spans="2:7" ht="29.25" customHeight="1" thickBot="1">
      <c r="B9" s="4">
        <v>5</v>
      </c>
      <c r="C9" s="5">
        <v>22800</v>
      </c>
      <c r="D9" s="6">
        <f>(C9*60%*8.59%)+(672*1)+150</f>
        <v>1997.112</v>
      </c>
      <c r="E9" s="6">
        <f>(C9*60%*8.59%)+(672*2)+150</f>
        <v>2669.112</v>
      </c>
      <c r="F9" s="6">
        <f>(C9*60%*8.59%)+(672*3)+150</f>
        <v>3341.112</v>
      </c>
      <c r="G9" s="6">
        <v>672</v>
      </c>
    </row>
    <row r="10" spans="2:7" ht="34.5" customHeight="1" thickBot="1">
      <c r="B10" s="7">
        <v>6</v>
      </c>
      <c r="C10" s="8">
        <v>24000</v>
      </c>
      <c r="D10" s="9">
        <f>(C10*60%*8.59%)+(707*1)+150</f>
        <v>2093.96</v>
      </c>
      <c r="E10" s="9">
        <f>(C10*60%*8.59%)+(707*2)+150</f>
        <v>2800.96</v>
      </c>
      <c r="F10" s="9">
        <f>(C10*60%*8.59%)+(707*3)+150</f>
        <v>3507.96</v>
      </c>
      <c r="G10" s="9">
        <v>707</v>
      </c>
    </row>
    <row r="11" spans="2:7" ht="31.5" customHeight="1" thickBot="1">
      <c r="B11" s="4">
        <v>7</v>
      </c>
      <c r="C11" s="5">
        <v>25200</v>
      </c>
      <c r="D11" s="6">
        <f>(C11*60%*8.59%)+(742*1)+150</f>
        <v>2190.808</v>
      </c>
      <c r="E11" s="6">
        <f>(C11*60%*8.59%)+(742*2)+150</f>
        <v>2932.808</v>
      </c>
      <c r="F11" s="6">
        <f>(C11*60%*8.59%)+(742*3)+150</f>
        <v>3674.808</v>
      </c>
      <c r="G11" s="6">
        <v>742</v>
      </c>
    </row>
    <row r="12" spans="2:7" ht="30" customHeight="1" thickBot="1">
      <c r="B12" s="7">
        <v>8</v>
      </c>
      <c r="C12" s="8">
        <v>26400</v>
      </c>
      <c r="D12" s="9">
        <f>(C12*60%*8.59%)+(778*1)+150</f>
        <v>2288.656</v>
      </c>
      <c r="E12" s="9">
        <f>(C12*60%*8.59%)+(778*2)+150</f>
        <v>3066.656</v>
      </c>
      <c r="F12" s="9">
        <f>(C12*60%*8.59%)+(778*3)+150</f>
        <v>3844.656</v>
      </c>
      <c r="G12" s="9">
        <v>778</v>
      </c>
    </row>
    <row r="13" spans="2:7" ht="32.25" customHeight="1" thickBot="1">
      <c r="B13" s="4">
        <v>9</v>
      </c>
      <c r="C13" s="5">
        <v>27600</v>
      </c>
      <c r="D13" s="6">
        <f>(C13*60%*8.59%)+(813*1)+150</f>
        <v>2385.504</v>
      </c>
      <c r="E13" s="6">
        <f>(C13*60%*8.59%)+(813*2)+150</f>
        <v>3198.504</v>
      </c>
      <c r="F13" s="6">
        <f>(C13*60%*8.59%)+(813*3)+150</f>
        <v>4011.504</v>
      </c>
      <c r="G13" s="6">
        <v>813</v>
      </c>
    </row>
    <row r="14" spans="2:7" ht="30" customHeight="1" thickBot="1">
      <c r="B14" s="7">
        <v>10</v>
      </c>
      <c r="C14" s="8">
        <v>28800</v>
      </c>
      <c r="D14" s="9">
        <f>(C14*60%*8.59%)+(848*1)+150</f>
        <v>2482.352</v>
      </c>
      <c r="E14" s="9">
        <f>(C14*60%*8.59%)+(848*2)+150</f>
        <v>3330.352</v>
      </c>
      <c r="F14" s="9">
        <f>(C14*60%*8.59%)+(848*3)+150</f>
        <v>4178.352</v>
      </c>
      <c r="G14" s="9">
        <v>848</v>
      </c>
    </row>
    <row r="15" spans="2:7" ht="29.25" customHeight="1" thickBot="1">
      <c r="B15" s="4">
        <v>11</v>
      </c>
      <c r="C15" s="5">
        <v>30300</v>
      </c>
      <c r="D15" s="6">
        <f>(C15*60%*8.59%)+(893*1)+150</f>
        <v>2604.6620000000003</v>
      </c>
      <c r="E15" s="6">
        <f>(C15*60%*8.59%)+(893*2)+150</f>
        <v>3497.6620000000003</v>
      </c>
      <c r="F15" s="6">
        <f>(C15*60%*8.59%)+(893*3)+150</f>
        <v>4390.662</v>
      </c>
      <c r="G15" s="6">
        <v>893</v>
      </c>
    </row>
    <row r="16" spans="2:7" ht="28.5" customHeight="1" thickBot="1">
      <c r="B16" s="7">
        <v>12</v>
      </c>
      <c r="C16" s="8">
        <v>31800</v>
      </c>
      <c r="D16" s="9">
        <f>(C16*60%*8.59%)+(937*1)+150</f>
        <v>2725.9719999999998</v>
      </c>
      <c r="E16" s="9">
        <f>(C16*60%*8.59%)+(937*2)+150</f>
        <v>3662.9719999999998</v>
      </c>
      <c r="F16" s="9">
        <f>(C16*60%*8.59%)+(937*3)+150</f>
        <v>4599.972</v>
      </c>
      <c r="G16" s="9">
        <v>937</v>
      </c>
    </row>
    <row r="17" spans="2:7" ht="33" customHeight="1" thickBot="1">
      <c r="B17" s="4">
        <v>13</v>
      </c>
      <c r="C17" s="5">
        <v>33300</v>
      </c>
      <c r="D17" s="6">
        <f>(C17*60%*8.59%)+(981*1)+150</f>
        <v>2847.282</v>
      </c>
      <c r="E17" s="6">
        <f>(C17*60%*8.59%)+(981*2)+150</f>
        <v>3828.282</v>
      </c>
      <c r="F17" s="6">
        <f>(C17*60%*8.59%)+(981*3)+150</f>
        <v>4809.282</v>
      </c>
      <c r="G17" s="6">
        <v>981</v>
      </c>
    </row>
    <row r="18" spans="2:7" ht="35.25" customHeight="1" thickBot="1">
      <c r="B18" s="7">
        <v>14</v>
      </c>
      <c r="C18" s="8">
        <v>34800</v>
      </c>
      <c r="D18" s="9">
        <f>(C18*60%*8.59%)+(1025*1)+150</f>
        <v>2968.592</v>
      </c>
      <c r="E18" s="9">
        <f>(C18*60%*8.59%)+(1025*2)+150</f>
        <v>3993.592</v>
      </c>
      <c r="F18" s="9">
        <f>(C18*60%*8.59%)+(1025*3)+150</f>
        <v>5018.592000000001</v>
      </c>
      <c r="G18" s="9">
        <v>1025</v>
      </c>
    </row>
    <row r="19" spans="2:7" ht="29.25" customHeight="1" thickBot="1">
      <c r="B19" s="4">
        <v>15</v>
      </c>
      <c r="C19" s="5">
        <v>36300</v>
      </c>
      <c r="D19" s="6">
        <f>(C19*60%*8.59%)+(1069*1)+150</f>
        <v>3089.902</v>
      </c>
      <c r="E19" s="6">
        <f>(C19*60%*8.59%)+(1069*2)+150</f>
        <v>4158.902</v>
      </c>
      <c r="F19" s="6">
        <f>(C19*60%*8.59%)+(1069*3)+150</f>
        <v>5227.902</v>
      </c>
      <c r="G19" s="6">
        <v>1069</v>
      </c>
    </row>
    <row r="20" spans="2:7" ht="33.75" customHeight="1" thickBot="1">
      <c r="B20" s="7">
        <v>16</v>
      </c>
      <c r="C20" s="8">
        <v>38200</v>
      </c>
      <c r="D20" s="9">
        <f>(C20*60%*8.59%)+(1125*1)+150</f>
        <v>3243.8280000000004</v>
      </c>
      <c r="E20" s="9">
        <f>(C20*60%*8.59%)+(1125*2)+150</f>
        <v>4368.828</v>
      </c>
      <c r="F20" s="9">
        <f>(C20*60%*8.59%)+(1125*3)+150</f>
        <v>5493.828</v>
      </c>
      <c r="G20" s="9">
        <v>1125</v>
      </c>
    </row>
    <row r="21" spans="2:7" ht="28.5" customHeight="1" thickBot="1">
      <c r="B21" s="4">
        <v>17</v>
      </c>
      <c r="C21" s="5">
        <v>40100</v>
      </c>
      <c r="D21" s="6">
        <f>(C21*60%*8.59%)+(1181*1)+150</f>
        <v>3397.754</v>
      </c>
      <c r="E21" s="6">
        <f>(C21*60%*8.59%)+(1181*2)+150</f>
        <v>4578.754</v>
      </c>
      <c r="F21" s="6">
        <f>(C21*60%*8.59%)+(1181*3)+150</f>
        <v>5759.754</v>
      </c>
      <c r="G21" s="6">
        <v>1181</v>
      </c>
    </row>
    <row r="22" spans="2:7" ht="32.25" customHeight="1" thickBot="1">
      <c r="B22" s="7">
        <v>18</v>
      </c>
      <c r="C22" s="8">
        <v>42000</v>
      </c>
      <c r="D22" s="9">
        <f>(C22*60%*8.59%)+(1237*1)+150</f>
        <v>3551.6800000000003</v>
      </c>
      <c r="E22" s="9">
        <f>(C22*60%*8.59%)+(1237*2)+150</f>
        <v>4788.68</v>
      </c>
      <c r="F22" s="9">
        <f>(C22*60%*8.59%)+(1237*3)+150</f>
        <v>6025.68</v>
      </c>
      <c r="G22" s="9">
        <v>1237</v>
      </c>
    </row>
    <row r="23" spans="2:7" ht="30" customHeight="1" thickBot="1">
      <c r="B23" s="4">
        <v>19</v>
      </c>
      <c r="C23" s="5">
        <v>43900</v>
      </c>
      <c r="D23" s="6">
        <f>(C23*60%*8.59%)+(1293*1)+150</f>
        <v>3705.606</v>
      </c>
      <c r="E23" s="6">
        <f>(C23*60%*8.59%)+(1293*2)+150</f>
        <v>4998.606</v>
      </c>
      <c r="F23" s="6">
        <f>(C23*60%*8.59%)+(1293*3)+150</f>
        <v>6291.606</v>
      </c>
      <c r="G23" s="6">
        <v>1293</v>
      </c>
    </row>
    <row r="24" ht="32.25" customHeight="1"/>
  </sheetData>
  <sheetProtection/>
  <mergeCells count="4">
    <mergeCell ref="B2:E2"/>
    <mergeCell ref="B3:B4"/>
    <mergeCell ref="C3:C4"/>
    <mergeCell ref="D3:G3"/>
  </mergeCells>
  <printOptions/>
  <pageMargins left="0.3937007874015748" right="0.3937007874015748" top="0.708661417322834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49">
      <selection activeCell="D5" sqref="D5"/>
    </sheetView>
  </sheetViews>
  <sheetFormatPr defaultColWidth="9.00390625" defaultRowHeight="15.75"/>
  <cols>
    <col min="1" max="1" width="3.75390625" style="0" customWidth="1"/>
    <col min="2" max="2" width="8.625" style="0" customWidth="1"/>
    <col min="3" max="3" width="13.00390625" style="0" customWidth="1"/>
    <col min="4" max="4" width="14.875" style="0" customWidth="1"/>
    <col min="5" max="5" width="14.50390625" style="0" customWidth="1"/>
    <col min="6" max="6" width="15.875" style="0" customWidth="1"/>
    <col min="7" max="7" width="14.75390625" style="0" customWidth="1"/>
  </cols>
  <sheetData>
    <row r="1" spans="1:7" ht="42.75" customHeight="1" thickBot="1">
      <c r="A1" s="2"/>
      <c r="B1" s="1" t="s">
        <v>9</v>
      </c>
      <c r="C1" s="2"/>
      <c r="D1" s="2"/>
      <c r="E1" s="2"/>
      <c r="F1" s="2"/>
      <c r="G1" s="2"/>
    </row>
    <row r="2" spans="1:7" ht="42.75" customHeight="1" thickBot="1">
      <c r="A2" s="3"/>
      <c r="B2" s="15" t="s">
        <v>15</v>
      </c>
      <c r="C2" s="16"/>
      <c r="D2" s="16"/>
      <c r="E2" s="17"/>
      <c r="F2" s="13" t="s">
        <v>12</v>
      </c>
      <c r="G2" s="14" t="s">
        <v>14</v>
      </c>
    </row>
    <row r="3" spans="2:7" ht="23.25" customHeight="1" thickBot="1">
      <c r="B3" s="18" t="s">
        <v>1</v>
      </c>
      <c r="C3" s="20" t="s">
        <v>2</v>
      </c>
      <c r="D3" s="22" t="s">
        <v>3</v>
      </c>
      <c r="E3" s="23"/>
      <c r="F3" s="23"/>
      <c r="G3" s="24"/>
    </row>
    <row r="4" spans="2:7" ht="37.5" customHeight="1" thickBot="1">
      <c r="B4" s="19"/>
      <c r="C4" s="21"/>
      <c r="D4" s="10" t="s">
        <v>4</v>
      </c>
      <c r="E4" s="11" t="s">
        <v>5</v>
      </c>
      <c r="F4" s="11" t="s">
        <v>6</v>
      </c>
      <c r="G4" s="11" t="s">
        <v>10</v>
      </c>
    </row>
    <row r="5" spans="2:7" ht="30.75" customHeight="1" thickBot="1">
      <c r="B5" s="4">
        <v>1</v>
      </c>
      <c r="C5" s="5">
        <v>19273</v>
      </c>
      <c r="D5" s="6">
        <f>(C5*60%*8.63%)+(672*1)+200</f>
        <v>1869.9559399999998</v>
      </c>
      <c r="E5" s="6">
        <f>(C5*60%*8.63%)+(672*2)+200</f>
        <v>2541.95594</v>
      </c>
      <c r="F5" s="6">
        <f>(C5*60%*8.63%)+(672*3)+200</f>
        <v>3213.95594</v>
      </c>
      <c r="G5" s="6">
        <v>672</v>
      </c>
    </row>
    <row r="6" spans="2:7" ht="30.75" customHeight="1" thickBot="1">
      <c r="B6" s="7">
        <v>2</v>
      </c>
      <c r="C6" s="8">
        <v>20100</v>
      </c>
      <c r="D6" s="9">
        <f>(C6*60%*8.63%)+(672*1)+200</f>
        <v>1912.778</v>
      </c>
      <c r="E6" s="9">
        <f>(C6*60%*8.63%)+(672*2)+200</f>
        <v>2584.7780000000002</v>
      </c>
      <c r="F6" s="9">
        <f>(C6*60%*8.63%)+(672*3)+200</f>
        <v>3256.7780000000002</v>
      </c>
      <c r="G6" s="9">
        <v>672</v>
      </c>
    </row>
    <row r="7" spans="2:7" ht="34.5" customHeight="1" thickBot="1">
      <c r="B7" s="4">
        <v>3</v>
      </c>
      <c r="C7" s="5">
        <v>21000</v>
      </c>
      <c r="D7" s="6">
        <f>(C7*60%*8.63%)+(672*1)+200</f>
        <v>1959.38</v>
      </c>
      <c r="E7" s="6">
        <f>(C7*60%*8.63%)+(672*2)+200</f>
        <v>2631.38</v>
      </c>
      <c r="F7" s="6">
        <f>(C7*60%*8.63%)+(672*3)+200</f>
        <v>3303.38</v>
      </c>
      <c r="G7" s="6">
        <v>672</v>
      </c>
    </row>
    <row r="8" spans="2:7" ht="27.75" customHeight="1" thickBot="1">
      <c r="B8" s="7">
        <v>4</v>
      </c>
      <c r="C8" s="8">
        <v>21900</v>
      </c>
      <c r="D8" s="9">
        <f>(C8*60%*8.63%)+(672*1)+200</f>
        <v>2005.982</v>
      </c>
      <c r="E8" s="9">
        <f>(C8*60%*8.63%)+(672*2)+200</f>
        <v>2677.982</v>
      </c>
      <c r="F8" s="9">
        <f>(C8*60%*8.63%)+(672*3)+200</f>
        <v>3349.982</v>
      </c>
      <c r="G8" s="9">
        <v>672</v>
      </c>
    </row>
    <row r="9" spans="2:7" ht="30" customHeight="1" thickBot="1">
      <c r="B9" s="4">
        <v>5</v>
      </c>
      <c r="C9" s="5">
        <v>22800</v>
      </c>
      <c r="D9" s="6">
        <f>(C9*60%*8.63%)+(672*1)+200</f>
        <v>2052.584</v>
      </c>
      <c r="E9" s="6">
        <f>(C9*60%*8.63%)+(672*2)+200</f>
        <v>2724.584</v>
      </c>
      <c r="F9" s="6">
        <f>(C9*60%*8.63%)+(672*3)+200</f>
        <v>3396.584</v>
      </c>
      <c r="G9" s="6">
        <v>672</v>
      </c>
    </row>
    <row r="10" spans="2:7" ht="30.75" customHeight="1" thickBot="1">
      <c r="B10" s="7">
        <v>6</v>
      </c>
      <c r="C10" s="8">
        <v>24000</v>
      </c>
      <c r="D10" s="9">
        <f>(C10*60%*8.63%)+(707*1)+200</f>
        <v>2149.7200000000003</v>
      </c>
      <c r="E10" s="9">
        <f>(C10*60%*8.63%)+(707*2)+200</f>
        <v>2856.7200000000003</v>
      </c>
      <c r="F10" s="9">
        <f>(C10*60%*8.63%)+(707*3)+200</f>
        <v>3563.7200000000003</v>
      </c>
      <c r="G10" s="9">
        <v>707</v>
      </c>
    </row>
    <row r="11" spans="2:7" ht="30" customHeight="1" thickBot="1">
      <c r="B11" s="4">
        <v>7</v>
      </c>
      <c r="C11" s="5">
        <v>25200</v>
      </c>
      <c r="D11" s="12">
        <f>(C11*60%*8.63%)+(742*1)+200</f>
        <v>2246.8559999999998</v>
      </c>
      <c r="E11" s="12">
        <f>(C11*60%*8.63%)+(742*2)+200</f>
        <v>2988.8559999999998</v>
      </c>
      <c r="F11" s="12">
        <f>(C11*60%*8.63%)+(742*3)+200</f>
        <v>3730.8559999999998</v>
      </c>
      <c r="G11" s="12">
        <v>742</v>
      </c>
    </row>
    <row r="12" spans="2:7" ht="30" customHeight="1" thickBot="1">
      <c r="B12" s="7">
        <v>8</v>
      </c>
      <c r="C12" s="8">
        <v>26400</v>
      </c>
      <c r="D12" s="9">
        <f>(C12*60%*8.63%)+(778*1)+200</f>
        <v>2344.992</v>
      </c>
      <c r="E12" s="9">
        <f>(C12*60%*8.63%)+(778*2)+200</f>
        <v>3122.992</v>
      </c>
      <c r="F12" s="9">
        <f>(C12*60%*8.63%)+(778*3)+200</f>
        <v>3900.992</v>
      </c>
      <c r="G12" s="9">
        <v>778</v>
      </c>
    </row>
    <row r="13" spans="2:7" ht="30.75" customHeight="1" thickBot="1">
      <c r="B13" s="4">
        <v>9</v>
      </c>
      <c r="C13" s="5">
        <v>27600</v>
      </c>
      <c r="D13" s="12">
        <f>(C13*60%*8.63%)+(813*1)+200</f>
        <v>2442.1279999999997</v>
      </c>
      <c r="E13" s="12">
        <f>(C13*60%*8.63%)+(813*2)+200</f>
        <v>3255.1279999999997</v>
      </c>
      <c r="F13" s="12">
        <f>(C13*60%*8.63%)+(813*3)+200</f>
        <v>4068.1279999999997</v>
      </c>
      <c r="G13" s="12">
        <v>813</v>
      </c>
    </row>
    <row r="14" spans="2:7" ht="30" customHeight="1" thickBot="1">
      <c r="B14" s="7">
        <v>10</v>
      </c>
      <c r="C14" s="8">
        <v>28800</v>
      </c>
      <c r="D14" s="9">
        <f>(C14*60%*8.63%)+(848*1)+200</f>
        <v>2539.264</v>
      </c>
      <c r="E14" s="9">
        <f>(C14*60%*8.63%)+(848*2)+200</f>
        <v>3387.264</v>
      </c>
      <c r="F14" s="9">
        <f>(C14*60%*8.63%)+(848*3)+200</f>
        <v>4235.264</v>
      </c>
      <c r="G14" s="9">
        <v>848</v>
      </c>
    </row>
    <row r="15" spans="2:7" ht="33" customHeight="1" thickBot="1">
      <c r="B15" s="4">
        <v>11</v>
      </c>
      <c r="C15" s="5">
        <v>30300</v>
      </c>
      <c r="D15" s="6">
        <f>(C15*60%*8.63%)+(893*1)+200</f>
        <v>2661.934</v>
      </c>
      <c r="E15" s="6">
        <f>(C15*60%*8.63%)+(893*2)+200</f>
        <v>3554.934</v>
      </c>
      <c r="F15" s="6">
        <f>(C15*60%*8.63%)+(893*3)+200</f>
        <v>4447.934</v>
      </c>
      <c r="G15" s="6">
        <v>893</v>
      </c>
    </row>
    <row r="16" spans="2:7" ht="29.25" customHeight="1" thickBot="1">
      <c r="B16" s="7">
        <v>12</v>
      </c>
      <c r="C16" s="8">
        <v>31800</v>
      </c>
      <c r="D16" s="9">
        <f>(C16*60%*8.63%)+(937*1)+200</f>
        <v>2783.6040000000003</v>
      </c>
      <c r="E16" s="9">
        <f>(C16*60%*8.63%)+(937*2)+200</f>
        <v>3720.6040000000003</v>
      </c>
      <c r="F16" s="9">
        <f>(C16*60%*8.63%)+(937*3)+200</f>
        <v>4657.604</v>
      </c>
      <c r="G16" s="9">
        <v>937</v>
      </c>
    </row>
    <row r="17" spans="2:7" ht="31.5" customHeight="1" thickBot="1">
      <c r="B17" s="4">
        <v>13</v>
      </c>
      <c r="C17" s="5">
        <v>33300</v>
      </c>
      <c r="D17" s="12">
        <f>(C17*60%*8.63%)+(981*1)+200</f>
        <v>2905.2740000000003</v>
      </c>
      <c r="E17" s="12">
        <f>(C17*60%*8.63%)+(981*2)+200</f>
        <v>3886.2740000000003</v>
      </c>
      <c r="F17" s="12">
        <f>(C17*60%*8.63%)+(981*3)+200</f>
        <v>4867.274</v>
      </c>
      <c r="G17" s="12">
        <v>981</v>
      </c>
    </row>
    <row r="18" spans="2:7" ht="30" customHeight="1" thickBot="1">
      <c r="B18" s="7">
        <v>14</v>
      </c>
      <c r="C18" s="8">
        <v>34800</v>
      </c>
      <c r="D18" s="9">
        <f>(C18*60%*8.63%)+(1025*1)+1+200</f>
        <v>3027.944</v>
      </c>
      <c r="E18" s="9">
        <f>(C18*60%*8.63%)+(1025*2)+200</f>
        <v>4051.944</v>
      </c>
      <c r="F18" s="9">
        <f>(C18*60%*8.63%)+(1025*3)+200</f>
        <v>5076.9439999999995</v>
      </c>
      <c r="G18" s="9">
        <v>1025</v>
      </c>
    </row>
    <row r="19" spans="2:7" ht="29.25" customHeight="1" thickBot="1">
      <c r="B19" s="4">
        <v>15</v>
      </c>
      <c r="C19" s="5">
        <v>36300</v>
      </c>
      <c r="D19" s="6">
        <f>(C19*60%*8.63%)+(1069*1)+200</f>
        <v>3148.614</v>
      </c>
      <c r="E19" s="6">
        <f>(C19*60%*8.63%)+(1069*2)+200</f>
        <v>4217.614</v>
      </c>
      <c r="F19" s="6">
        <f>(C19*60%*8.63%)+(1069*3)+200</f>
        <v>5286.614</v>
      </c>
      <c r="G19" s="6">
        <v>1069</v>
      </c>
    </row>
    <row r="20" spans="2:7" ht="31.5" customHeight="1" thickBot="1">
      <c r="B20" s="7">
        <v>16</v>
      </c>
      <c r="C20" s="8">
        <v>38200</v>
      </c>
      <c r="D20" s="9">
        <f>(C20*60%*8.63%)+(1125*1)+200</f>
        <v>3302.996</v>
      </c>
      <c r="E20" s="9">
        <f>(C20*60%*8.63%)+(1125*2)+200</f>
        <v>4427.996</v>
      </c>
      <c r="F20" s="9">
        <f>(C20*60%*8.63%)+(1125*3)+200</f>
        <v>5552.996</v>
      </c>
      <c r="G20" s="9">
        <v>1125</v>
      </c>
    </row>
    <row r="21" spans="2:7" ht="31.5" customHeight="1" thickBot="1">
      <c r="B21" s="4">
        <v>17</v>
      </c>
      <c r="C21" s="5">
        <v>40100</v>
      </c>
      <c r="D21" s="6">
        <f>(C21*60%*8.63%)+(1181*1)+200</f>
        <v>3457.378</v>
      </c>
      <c r="E21" s="6">
        <f>(C21*60%*8.63%)+(1181*2)+200</f>
        <v>4638.378000000001</v>
      </c>
      <c r="F21" s="6">
        <f>(C21*60%*8.63%)+(1181*3)+200</f>
        <v>5819.378000000001</v>
      </c>
      <c r="G21" s="6">
        <v>1181</v>
      </c>
    </row>
    <row r="22" spans="2:7" ht="30.75" customHeight="1" thickBot="1">
      <c r="B22" s="7">
        <v>18</v>
      </c>
      <c r="C22" s="8">
        <v>42000</v>
      </c>
      <c r="D22" s="9">
        <f>(C22*60%*8.63%)+(1237*1)+200</f>
        <v>3611.76</v>
      </c>
      <c r="E22" s="9">
        <f>(C22*60%*8.63%)+(1237*2)+200</f>
        <v>4848.76</v>
      </c>
      <c r="F22" s="9">
        <f>(C22*60%*8.63%)+(1237*3)+200</f>
        <v>6085.76</v>
      </c>
      <c r="G22" s="9">
        <v>1237</v>
      </c>
    </row>
    <row r="23" spans="2:7" ht="31.5" customHeight="1" thickBot="1">
      <c r="B23" s="4">
        <v>19</v>
      </c>
      <c r="C23" s="5">
        <v>43900</v>
      </c>
      <c r="D23" s="6">
        <f>(C23*60%*8.63%)+(1293*1)+200</f>
        <v>3766.142</v>
      </c>
      <c r="E23" s="6">
        <f>(C23*60%*8.63%)+(1293*2)+200</f>
        <v>5059.142</v>
      </c>
      <c r="F23" s="6">
        <f>(C23*60%*8.63%)+(1293*3)+200</f>
        <v>6352.142</v>
      </c>
      <c r="G23" s="6">
        <v>1293</v>
      </c>
    </row>
    <row r="24" ht="33.75" customHeight="1"/>
  </sheetData>
  <sheetProtection/>
  <mergeCells count="4">
    <mergeCell ref="B2:E2"/>
    <mergeCell ref="B3:B4"/>
    <mergeCell ref="C3:C4"/>
    <mergeCell ref="D3:G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屏東縣派遣服務人員&amp;保險代理職業工會</dc:creator>
  <cp:keywords/>
  <dc:description/>
  <cp:lastModifiedBy>gew</cp:lastModifiedBy>
  <cp:lastPrinted>2014-06-08T13:58:17Z</cp:lastPrinted>
  <dcterms:created xsi:type="dcterms:W3CDTF">2010-12-24T02:55:02Z</dcterms:created>
  <dcterms:modified xsi:type="dcterms:W3CDTF">2014-06-30T12:51:17Z</dcterms:modified>
  <cp:category/>
  <cp:version/>
  <cp:contentType/>
  <cp:contentStatus/>
</cp:coreProperties>
</file>